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1" sheetId="1" r:id="rId1"/>
  </sheets>
  <externalReferences>
    <externalReference r:id="rId4"/>
  </externalReferences>
  <definedNames>
    <definedName name="_xlnm.Print_Area" localSheetId="0">'St.1'!$A$1:$N$60</definedName>
    <definedName name="_xlnm.Print_Titles" localSheetId="0">'St.1'!$A:$A,'St.1'!$1:$3</definedName>
  </definedNames>
  <calcPr fullCalcOnLoad="1"/>
</workbook>
</file>

<file path=xl/sharedStrings.xml><?xml version="1.0" encoding="utf-8"?>
<sst xmlns="http://schemas.openxmlformats.org/spreadsheetml/2006/main" count="102" uniqueCount="83">
  <si>
    <t>HEADS</t>
  </si>
  <si>
    <t>R.E.</t>
  </si>
  <si>
    <t>B.E.</t>
  </si>
  <si>
    <t>ESTI- MATES</t>
  </si>
  <si>
    <t>FORECAST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</si>
  <si>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</si>
  <si>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</si>
  <si>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</si>
  <si>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</si>
  <si>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</si>
  <si>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</si>
  <si>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</si>
  <si>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</si>
  <si>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1. State's Own Revenue</t>
  </si>
  <si>
    <t xml:space="preserve">     i. Total Tax Revenue</t>
  </si>
  <si>
    <t xml:space="preserve">     ii. Total Non-Tax Revenues</t>
  </si>
  <si>
    <t xml:space="preserve">2. Transfers from the Centre (3+4) </t>
  </si>
  <si>
    <t>Information not to be given</t>
  </si>
  <si>
    <t xml:space="preserve">3. Share in Central Taxes </t>
  </si>
  <si>
    <t>4. Grants from Centre</t>
  </si>
  <si>
    <t xml:space="preserve">     i.  Non-Plan Grants under FC</t>
  </si>
  <si>
    <t xml:space="preserve">     ii.  Plan Grants under FC</t>
  </si>
  <si>
    <t xml:space="preserve">     iii. Plan Grants other than FC</t>
  </si>
  <si>
    <t xml:space="preserve">     iv. Other Non-Plan Grants</t>
  </si>
  <si>
    <t>II.   Total Revenue Expenditure (1+2+3+4)</t>
  </si>
  <si>
    <t xml:space="preserve">     i. Interest Payments</t>
  </si>
  <si>
    <t xml:space="preserve">     ii. Pension and Other Retirement Benefits</t>
  </si>
  <si>
    <t xml:space="preserve">     iii. Gen. Serv. other than Interest &amp; Pension</t>
  </si>
  <si>
    <t xml:space="preserve">         a.   Plan</t>
  </si>
  <si>
    <t xml:space="preserve">         b.  Non-Plan</t>
  </si>
  <si>
    <t>2. Social Services</t>
  </si>
  <si>
    <t>3. Economic Services</t>
  </si>
  <si>
    <t>4. Grant In Aid to Local Bodies</t>
  </si>
  <si>
    <t>III.   Capital Expenditure</t>
  </si>
  <si>
    <t xml:space="preserve">    i. Capital Outlay</t>
  </si>
  <si>
    <t xml:space="preserve">    ii. Loans &amp; Advances (gross)</t>
  </si>
  <si>
    <t xml:space="preserve">IV. Total Capital Receipts </t>
  </si>
  <si>
    <t xml:space="preserve">    i. Misc. Capital Receipts</t>
  </si>
  <si>
    <t xml:space="preserve">         a. Disinvestment of Govt's equity holdings</t>
  </si>
  <si>
    <t xml:space="preserve">         b. Premium on Government's Equity</t>
  </si>
  <si>
    <t xml:space="preserve">         c. Others</t>
  </si>
  <si>
    <t xml:space="preserve">    ii. Internal Debt (Net)</t>
  </si>
  <si>
    <t xml:space="preserve">    iii. Loans from Centre (Net)</t>
  </si>
  <si>
    <t xml:space="preserve">    iv. Recoveries of Loans &amp; Advances</t>
  </si>
  <si>
    <t xml:space="preserve">    v. Outstanding ways and means advance (net)</t>
  </si>
  <si>
    <t xml:space="preserve">    vi. Others (Net)</t>
  </si>
  <si>
    <t xml:space="preserve">         a. Inter-State Settlement (net)</t>
  </si>
  <si>
    <t xml:space="preserve">         b. Contingency Fund (net)</t>
  </si>
  <si>
    <t xml:space="preserve">         c. Public Account (net)</t>
  </si>
  <si>
    <t>2015-16</t>
  </si>
  <si>
    <t>2016-17</t>
  </si>
  <si>
    <t>2017-18</t>
  </si>
  <si>
    <t>2018-19</t>
  </si>
  <si>
    <t>2019-20</t>
  </si>
  <si>
    <t>V.   Revenue Deficit (II-I) *</t>
  </si>
  <si>
    <t>VII. GSDP at Current Prices</t>
  </si>
  <si>
    <t>VIII. GSDP at Constant Prices (1999-2000 Series)</t>
  </si>
  <si>
    <t>IX. GSDP at Constant Prices (2004-05 Series)</t>
  </si>
  <si>
    <t>of which grants for creation of capital assets</t>
  </si>
  <si>
    <t>VI.  Fiscal Deficit  [(II+III) - (I + IV (i + iv))]</t>
  </si>
  <si>
    <t>I.   Revenue Receipts (1+2)</t>
  </si>
  <si>
    <t>ACTUALS</t>
  </si>
  <si>
    <t>(of Which Grants for Creations of Capital Assets)</t>
  </si>
  <si>
    <r>
      <t xml:space="preserve">1. General Services  </t>
    </r>
    <r>
      <rPr>
        <b/>
        <i/>
        <sz val="11.5"/>
        <rFont val="Calibri"/>
        <family val="2"/>
      </rPr>
      <t>of which</t>
    </r>
  </si>
  <si>
    <t>NA: Not Available</t>
  </si>
  <si>
    <t>* Provisional Estimate</t>
  </si>
  <si>
    <t>** Quick</t>
  </si>
  <si>
    <t>P- Projected</t>
  </si>
  <si>
    <t xml:space="preserve">NA </t>
  </si>
  <si>
    <t>4759.41 *</t>
  </si>
  <si>
    <t>5147.61**</t>
  </si>
  <si>
    <t>5585.16 P</t>
  </si>
  <si>
    <t>6059.90 P</t>
  </si>
  <si>
    <t>6574.99 P</t>
  </si>
  <si>
    <t>7133.86 P</t>
  </si>
  <si>
    <t>7740.24 P</t>
  </si>
  <si>
    <t>8398.16 P</t>
  </si>
  <si>
    <t>9112.01 P</t>
  </si>
  <si>
    <t>9886.53 P</t>
  </si>
  <si>
    <t>Note: GSDP information submitted  by DESME, Sikkim State</t>
  </si>
  <si>
    <t xml:space="preserve">           2. Loans from the Centre (net) excluding outstanding ways and means - </t>
  </si>
  <si>
    <t xml:space="preserve"> Estimated Growth rate of GSDP at Current Prices has been made as per the recommended by the 13th Finance Commission</t>
  </si>
  <si>
    <t>DESME has estimates / figures of GSDP at Constant Price  with 1999-00 series upto 2006-07 only as the state has shifted to new Base from  2004-05  onwards.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</si>
</sst>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  <numFmt numFmtId="203" formatCode="0.00_);\(0.00\)"/>
    <numFmt numFmtId="204" formatCode="0.0000000000"/>
    <numFmt numFmtId="205" formatCode="0.00000000000"/>
    <numFmt numFmtId="206" formatCode="_(* #,##0.00000000000_);_(* \(#,##0.00000000000\);_(* &quot;-&quot;?????????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.5"/>
      <name val="Calibri"/>
      <family val="2"/>
    </font>
    <font>
      <sz val="10"/>
      <name val="Courier"/>
      <family val="3"/>
    </font>
    <font>
      <sz val="10"/>
      <name val="Geneva"/>
      <family val="0"/>
    </font>
    <font>
      <sz val="11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Calibri"/>
      <family val="2"/>
    </font>
    <font>
      <b/>
      <u val="single"/>
      <sz val="11.5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4" fillId="24" borderId="10" xfId="57" applyFont="1" applyFill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5" fillId="0" borderId="0" xfId="57" applyFont="1" applyBorder="1" applyAlignment="1">
      <alignment vertical="center"/>
      <protection/>
    </xf>
    <xf numFmtId="0" fontId="24" fillId="0" borderId="10" xfId="57" applyFont="1" applyBorder="1" applyAlignment="1">
      <alignment horizontal="center" vertical="center"/>
      <protection/>
    </xf>
    <xf numFmtId="0" fontId="24" fillId="24" borderId="10" xfId="57" applyFont="1" applyFill="1" applyBorder="1" applyAlignment="1">
      <alignment horizontal="center" vertical="center"/>
      <protection/>
    </xf>
    <xf numFmtId="0" fontId="24" fillId="0" borderId="0" xfId="57" applyFont="1" applyBorder="1" applyAlignment="1">
      <alignment horizontal="left" vertical="center" wrapText="1"/>
      <protection/>
    </xf>
    <xf numFmtId="2" fontId="24" fillId="0" borderId="11" xfId="0" applyNumberFormat="1" applyFont="1" applyBorder="1" applyAlignment="1">
      <alignment horizontal="right" vertical="center"/>
    </xf>
    <xf numFmtId="2" fontId="24" fillId="24" borderId="11" xfId="0" applyNumberFormat="1" applyFont="1" applyFill="1" applyBorder="1" applyAlignment="1">
      <alignment horizontal="right" vertical="center"/>
    </xf>
    <xf numFmtId="0" fontId="25" fillId="0" borderId="0" xfId="57" applyFont="1" applyBorder="1" applyAlignment="1">
      <alignment horizontal="left" vertical="center" wrapText="1"/>
      <protection/>
    </xf>
    <xf numFmtId="2" fontId="24" fillId="0" borderId="10" xfId="0" applyNumberFormat="1" applyFont="1" applyBorder="1" applyAlignment="1">
      <alignment horizontal="right" vertical="center"/>
    </xf>
    <xf numFmtId="2" fontId="24" fillId="24" borderId="10" xfId="0" applyNumberFormat="1" applyFont="1" applyFill="1" applyBorder="1" applyAlignment="1">
      <alignment horizontal="right" vertical="center"/>
    </xf>
    <xf numFmtId="0" fontId="25" fillId="0" borderId="0" xfId="57" applyFont="1" applyAlignment="1">
      <alignment vertical="center"/>
      <protection/>
    </xf>
    <xf numFmtId="2" fontId="25" fillId="0" borderId="10" xfId="0" applyNumberFormat="1" applyFont="1" applyBorder="1" applyAlignment="1">
      <alignment horizontal="right" vertical="center"/>
    </xf>
    <xf numFmtId="2" fontId="25" fillId="24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/>
    </xf>
    <xf numFmtId="2" fontId="25" fillId="0" borderId="10" xfId="42" applyNumberFormat="1" applyFont="1" applyBorder="1" applyAlignment="1">
      <alignment vertical="center"/>
    </xf>
    <xf numFmtId="2" fontId="25" fillId="24" borderId="10" xfId="42" applyNumberFormat="1" applyFont="1" applyFill="1" applyBorder="1" applyAlignment="1">
      <alignment vertical="center"/>
    </xf>
    <xf numFmtId="43" fontId="25" fillId="0" borderId="10" xfId="42" applyNumberFormat="1" applyFont="1" applyBorder="1" applyAlignment="1">
      <alignment vertical="center"/>
    </xf>
    <xf numFmtId="43" fontId="25" fillId="24" borderId="10" xfId="42" applyNumberFormat="1" applyFont="1" applyFill="1" applyBorder="1" applyAlignment="1">
      <alignment vertical="center"/>
    </xf>
    <xf numFmtId="43" fontId="24" fillId="24" borderId="10" xfId="42" applyNumberFormat="1" applyFont="1" applyFill="1" applyBorder="1" applyAlignment="1">
      <alignment horizontal="center" vertical="center"/>
    </xf>
    <xf numFmtId="43" fontId="24" fillId="0" borderId="10" xfId="42" applyNumberFormat="1" applyFont="1" applyBorder="1" applyAlignment="1">
      <alignment horizontal="center" vertical="center"/>
    </xf>
    <xf numFmtId="0" fontId="24" fillId="0" borderId="0" xfId="57" applyFont="1" applyFill="1" applyBorder="1" applyAlignment="1">
      <alignment horizontal="left" vertical="center" wrapText="1"/>
      <protection/>
    </xf>
    <xf numFmtId="2" fontId="24" fillId="0" borderId="10" xfId="0" applyNumberFormat="1" applyFont="1" applyBorder="1" applyAlignment="1">
      <alignment vertical="center"/>
    </xf>
    <xf numFmtId="2" fontId="24" fillId="24" borderId="10" xfId="0" applyNumberFormat="1" applyFont="1" applyFill="1" applyBorder="1" applyAlignment="1">
      <alignment vertical="center"/>
    </xf>
    <xf numFmtId="0" fontId="24" fillId="0" borderId="0" xfId="57" applyFont="1" applyAlignment="1">
      <alignment vertical="center"/>
      <protection/>
    </xf>
    <xf numFmtId="2" fontId="25" fillId="0" borderId="10" xfId="0" applyNumberFormat="1" applyFont="1" applyBorder="1" applyAlignment="1">
      <alignment vertical="center"/>
    </xf>
    <xf numFmtId="2" fontId="25" fillId="24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 wrapText="1"/>
    </xf>
    <xf numFmtId="2" fontId="25" fillId="24" borderId="10" xfId="0" applyNumberFormat="1" applyFont="1" applyFill="1" applyBorder="1" applyAlignment="1">
      <alignment horizontal="right" vertical="center" wrapText="1"/>
    </xf>
    <xf numFmtId="2" fontId="25" fillId="24" borderId="10" xfId="0" applyNumberFormat="1" applyFont="1" applyFill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2" fontId="30" fillId="24" borderId="0" xfId="0" applyNumberFormat="1" applyFont="1" applyFill="1" applyAlignment="1">
      <alignment vertical="center"/>
    </xf>
    <xf numFmtId="2" fontId="30" fillId="0" borderId="0" xfId="0" applyNumberFormat="1" applyFont="1" applyAlignment="1">
      <alignment vertical="center"/>
    </xf>
    <xf numFmtId="0" fontId="25" fillId="0" borderId="0" xfId="57" applyFont="1" applyFill="1" applyBorder="1" applyAlignment="1">
      <alignment horizontal="left" vertical="center" wrapText="1"/>
      <protection/>
    </xf>
    <xf numFmtId="2" fontId="25" fillId="0" borderId="10" xfId="59" applyNumberFormat="1" applyFont="1" applyBorder="1" applyAlignment="1">
      <alignment vertical="center"/>
      <protection/>
    </xf>
    <xf numFmtId="2" fontId="25" fillId="24" borderId="10" xfId="59" applyNumberFormat="1" applyFont="1" applyFill="1" applyBorder="1" applyAlignment="1">
      <alignment vertical="center"/>
      <protection/>
    </xf>
    <xf numFmtId="0" fontId="25" fillId="24" borderId="10" xfId="59" applyFont="1" applyFill="1" applyBorder="1" applyAlignment="1">
      <alignment vertical="center"/>
      <protection/>
    </xf>
    <xf numFmtId="2" fontId="24" fillId="0" borderId="10" xfId="0" applyNumberFormat="1" applyFont="1" applyFill="1" applyBorder="1" applyAlignment="1">
      <alignment vertical="center"/>
    </xf>
    <xf numFmtId="0" fontId="25" fillId="0" borderId="0" xfId="57" applyFont="1" applyFill="1" applyAlignment="1">
      <alignment vertical="center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2" fontId="24" fillId="0" borderId="10" xfId="57" applyNumberFormat="1" applyFont="1" applyBorder="1" applyAlignment="1">
      <alignment vertical="center"/>
      <protection/>
    </xf>
    <xf numFmtId="2" fontId="24" fillId="24" borderId="10" xfId="57" applyNumberFormat="1" applyFont="1" applyFill="1" applyBorder="1" applyAlignment="1">
      <alignment vertical="center"/>
      <protection/>
    </xf>
    <xf numFmtId="0" fontId="24" fillId="0" borderId="10" xfId="57" applyFont="1" applyBorder="1" applyAlignment="1">
      <alignment vertical="center"/>
      <protection/>
    </xf>
    <xf numFmtId="0" fontId="24" fillId="24" borderId="10" xfId="57" applyFont="1" applyFill="1" applyBorder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0" fontId="25" fillId="24" borderId="0" xfId="57" applyFont="1" applyFill="1" applyAlignment="1">
      <alignment vertical="center"/>
      <protection/>
    </xf>
    <xf numFmtId="0" fontId="25" fillId="24" borderId="10" xfId="57" applyFont="1" applyFill="1" applyBorder="1" applyAlignment="1">
      <alignment vertical="center"/>
      <protection/>
    </xf>
    <xf numFmtId="2" fontId="24" fillId="24" borderId="1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2" fontId="23" fillId="0" borderId="10" xfId="58" applyNumberFormat="1" applyFont="1" applyBorder="1" applyAlignment="1">
      <alignment horizontal="right" vertical="center"/>
      <protection/>
    </xf>
    <xf numFmtId="2" fontId="23" fillId="0" borderId="10" xfId="0" applyNumberFormat="1" applyFont="1" applyBorder="1" applyAlignment="1">
      <alignment vertical="center"/>
    </xf>
    <xf numFmtId="43" fontId="23" fillId="0" borderId="8" xfId="42" applyFont="1" applyFill="1" applyBorder="1" applyAlignment="1" applyProtection="1">
      <alignment vertical="center"/>
      <protection/>
    </xf>
    <xf numFmtId="0" fontId="24" fillId="0" borderId="0" xfId="57" applyFont="1" applyAlignment="1">
      <alignment horizontal="left" vertical="center" wrapText="1"/>
      <protection/>
    </xf>
    <xf numFmtId="0" fontId="28" fillId="0" borderId="0" xfId="0" applyFont="1" applyAlignment="1">
      <alignment horizontal="left" wrapText="1"/>
    </xf>
    <xf numFmtId="0" fontId="24" fillId="0" borderId="10" xfId="57" applyFont="1" applyBorder="1" applyAlignment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/>
    </xf>
    <xf numFmtId="0" fontId="29" fillId="0" borderId="0" xfId="57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age7-21-rev" xfId="58"/>
    <cellStyle name="Normal_Stat-4a&amp;4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.1a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42.25</v>
          </cell>
        </row>
        <row r="21">
          <cell r="G21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60"/>
  <sheetViews>
    <sheetView tabSelected="1" view="pageLayout" zoomScaleSheetLayoutView="100" workbookViewId="0" topLeftCell="A1">
      <selection activeCell="A1" sqref="A1:A2"/>
    </sheetView>
  </sheetViews>
  <sheetFormatPr defaultColWidth="9.140625" defaultRowHeight="12.75"/>
  <cols>
    <col min="1" max="1" width="27.28125" style="45" customWidth="1"/>
    <col min="2" max="2" width="9.140625" style="12" bestFit="1" customWidth="1"/>
    <col min="3" max="7" width="9.140625" style="46" bestFit="1" customWidth="1"/>
    <col min="8" max="8" width="9.57421875" style="12" bestFit="1" customWidth="1"/>
    <col min="9" max="11" width="9.57421875" style="46" bestFit="1" customWidth="1"/>
    <col min="12" max="12" width="9.57421875" style="12" bestFit="1" customWidth="1"/>
    <col min="13" max="13" width="10.57421875" style="12" bestFit="1" customWidth="1"/>
    <col min="14" max="14" width="10.28125" style="12" customWidth="1"/>
    <col min="15" max="16384" width="9.140625" style="12" customWidth="1"/>
  </cols>
  <sheetData>
    <row r="1" spans="1:14" s="3" customFormat="1" ht="30">
      <c r="A1" s="57" t="s">
        <v>0</v>
      </c>
      <c r="B1" s="57" t="s">
        <v>61</v>
      </c>
      <c r="C1" s="57"/>
      <c r="D1" s="57"/>
      <c r="E1" s="57"/>
      <c r="F1" s="57"/>
      <c r="G1" s="1" t="s">
        <v>1</v>
      </c>
      <c r="H1" s="2" t="s">
        <v>2</v>
      </c>
      <c r="I1" s="1" t="s">
        <v>3</v>
      </c>
      <c r="J1" s="57" t="s">
        <v>4</v>
      </c>
      <c r="K1" s="57"/>
      <c r="L1" s="57"/>
      <c r="M1" s="57"/>
      <c r="N1" s="57"/>
    </row>
    <row r="2" spans="1:14" s="3" customFormat="1" ht="21" customHeight="1">
      <c r="A2" s="57"/>
      <c r="B2" s="2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2" t="s">
        <v>11</v>
      </c>
      <c r="I2" s="1" t="s">
        <v>12</v>
      </c>
      <c r="J2" s="1" t="s">
        <v>49</v>
      </c>
      <c r="K2" s="1" t="s">
        <v>50</v>
      </c>
      <c r="L2" s="2" t="s">
        <v>51</v>
      </c>
      <c r="M2" s="2" t="s">
        <v>52</v>
      </c>
      <c r="N2" s="2" t="s">
        <v>53</v>
      </c>
    </row>
    <row r="3" spans="1:14" s="3" customFormat="1" ht="21" customHeight="1">
      <c r="A3" s="2">
        <v>1</v>
      </c>
      <c r="B3" s="4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4">
        <v>8</v>
      </c>
      <c r="I3" s="5">
        <v>9</v>
      </c>
      <c r="J3" s="5">
        <v>10</v>
      </c>
      <c r="K3" s="5">
        <v>11</v>
      </c>
      <c r="L3" s="4">
        <v>12</v>
      </c>
      <c r="M3" s="4">
        <v>13</v>
      </c>
      <c r="N3" s="4">
        <v>14</v>
      </c>
    </row>
    <row r="4" spans="1:14" s="3" customFormat="1" ht="21" customHeight="1">
      <c r="A4" s="6" t="s">
        <v>60</v>
      </c>
      <c r="B4" s="7">
        <f aca="true" t="shared" si="0" ref="B4:H4">B5+B8</f>
        <v>2699.42</v>
      </c>
      <c r="C4" s="8">
        <f t="shared" si="0"/>
        <v>2671.24</v>
      </c>
      <c r="D4" s="8">
        <f t="shared" si="0"/>
        <v>3254.3899999999994</v>
      </c>
      <c r="E4" s="8">
        <f t="shared" si="0"/>
        <v>3047.2999999999997</v>
      </c>
      <c r="F4" s="8">
        <f t="shared" si="0"/>
        <v>3672.63</v>
      </c>
      <c r="G4" s="8">
        <f t="shared" si="0"/>
        <v>4795.539999999999</v>
      </c>
      <c r="H4" s="7">
        <f t="shared" si="0"/>
        <v>4995.950000000001</v>
      </c>
      <c r="I4" s="8">
        <f aca="true" t="shared" si="1" ref="I4:N4">I5</f>
        <v>1506.97</v>
      </c>
      <c r="J4" s="8">
        <f t="shared" si="1"/>
        <v>1581.4825506768434</v>
      </c>
      <c r="K4" s="8">
        <f t="shared" si="1"/>
        <v>1665.962485984543</v>
      </c>
      <c r="L4" s="7">
        <f t="shared" si="1"/>
        <v>1787.4699999999998</v>
      </c>
      <c r="M4" s="7">
        <f t="shared" si="1"/>
        <v>1945.3625014871263</v>
      </c>
      <c r="N4" s="7">
        <f t="shared" si="1"/>
        <v>2090.31</v>
      </c>
    </row>
    <row r="5" spans="1:14" ht="21" customHeight="1">
      <c r="A5" s="9" t="s">
        <v>13</v>
      </c>
      <c r="B5" s="10">
        <f>SUM(B6:B7)</f>
        <v>1563.33</v>
      </c>
      <c r="C5" s="11">
        <f aca="true" t="shared" si="2" ref="C5:K5">SUM(C6:C7)</f>
        <v>1389.8999999999999</v>
      </c>
      <c r="D5" s="11">
        <f t="shared" si="2"/>
        <v>1579.3799999999999</v>
      </c>
      <c r="E5" s="11">
        <f t="shared" si="2"/>
        <v>1416.6399999999999</v>
      </c>
      <c r="F5" s="11">
        <f t="shared" si="2"/>
        <v>1338.5000000000002</v>
      </c>
      <c r="G5" s="11">
        <f t="shared" si="2"/>
        <v>1396.52</v>
      </c>
      <c r="H5" s="10">
        <f t="shared" si="2"/>
        <v>1480.19</v>
      </c>
      <c r="I5" s="11">
        <f t="shared" si="2"/>
        <v>1506.97</v>
      </c>
      <c r="J5" s="11">
        <f t="shared" si="2"/>
        <v>1581.4825506768434</v>
      </c>
      <c r="K5" s="11">
        <f t="shared" si="2"/>
        <v>1665.962485984543</v>
      </c>
      <c r="L5" s="10">
        <f>SUM(L6:L7)</f>
        <v>1787.4699999999998</v>
      </c>
      <c r="M5" s="10">
        <f>SUM(M6:M7)</f>
        <v>1945.3625014871263</v>
      </c>
      <c r="N5" s="10">
        <f>SUM(N6:N7)</f>
        <v>2090.31</v>
      </c>
    </row>
    <row r="6" spans="1:14" ht="21" customHeight="1">
      <c r="A6" s="9" t="s">
        <v>14</v>
      </c>
      <c r="B6" s="13">
        <v>149.59</v>
      </c>
      <c r="C6" s="14">
        <v>184.59</v>
      </c>
      <c r="D6" s="14">
        <v>222.94</v>
      </c>
      <c r="E6" s="14">
        <v>278.88</v>
      </c>
      <c r="F6" s="14">
        <v>293.94</v>
      </c>
      <c r="G6" s="14">
        <v>370.28000000000003</v>
      </c>
      <c r="H6" s="52">
        <v>425.67</v>
      </c>
      <c r="I6" s="52">
        <v>475.81</v>
      </c>
      <c r="J6" s="52">
        <v>531.79</v>
      </c>
      <c r="K6" s="52">
        <v>594.9</v>
      </c>
      <c r="L6" s="52">
        <v>666.11</v>
      </c>
      <c r="M6" s="52">
        <v>746.55</v>
      </c>
      <c r="N6" s="52">
        <v>837.52</v>
      </c>
    </row>
    <row r="7" spans="1:14" ht="21" customHeight="1">
      <c r="A7" s="9" t="s">
        <v>15</v>
      </c>
      <c r="B7" s="13">
        <v>1413.74</v>
      </c>
      <c r="C7" s="14">
        <v>1205.31</v>
      </c>
      <c r="D7" s="14">
        <v>1356.4399999999998</v>
      </c>
      <c r="E7" s="14">
        <v>1137.76</v>
      </c>
      <c r="F7" s="14">
        <v>1044.5600000000002</v>
      </c>
      <c r="G7" s="14">
        <v>1026.24</v>
      </c>
      <c r="H7" s="52">
        <v>1054.52</v>
      </c>
      <c r="I7" s="53">
        <v>1031.16</v>
      </c>
      <c r="J7" s="53">
        <v>1049.6925506768434</v>
      </c>
      <c r="K7" s="53">
        <v>1071.062485984543</v>
      </c>
      <c r="L7" s="53">
        <v>1121.36</v>
      </c>
      <c r="M7" s="53">
        <v>1198.8125014871264</v>
      </c>
      <c r="N7" s="53">
        <v>1252.79</v>
      </c>
    </row>
    <row r="8" spans="1:14" ht="30">
      <c r="A8" s="9" t="s">
        <v>16</v>
      </c>
      <c r="B8" s="10">
        <f>B9+B10</f>
        <v>1136.0900000000001</v>
      </c>
      <c r="C8" s="11">
        <f aca="true" t="shared" si="3" ref="C8:H8">C9+C10</f>
        <v>1281.34</v>
      </c>
      <c r="D8" s="11">
        <f t="shared" si="3"/>
        <v>1675.0099999999998</v>
      </c>
      <c r="E8" s="11">
        <f t="shared" si="3"/>
        <v>1630.6599999999999</v>
      </c>
      <c r="F8" s="11">
        <f t="shared" si="3"/>
        <v>2334.13</v>
      </c>
      <c r="G8" s="11">
        <f t="shared" si="3"/>
        <v>3399.0199999999995</v>
      </c>
      <c r="H8" s="10">
        <f t="shared" si="3"/>
        <v>3515.76</v>
      </c>
      <c r="I8" s="58" t="s">
        <v>17</v>
      </c>
      <c r="J8" s="58"/>
      <c r="K8" s="58"/>
      <c r="L8" s="58"/>
      <c r="M8" s="58"/>
      <c r="N8" s="58"/>
    </row>
    <row r="9" spans="1:14" ht="21" customHeight="1">
      <c r="A9" s="9" t="s">
        <v>18</v>
      </c>
      <c r="B9" s="13">
        <v>393.38</v>
      </c>
      <c r="C9" s="14">
        <v>378.78999999999996</v>
      </c>
      <c r="D9" s="14">
        <v>375.39</v>
      </c>
      <c r="E9" s="14">
        <v>525.64</v>
      </c>
      <c r="F9" s="14">
        <v>611.6300000000001</v>
      </c>
      <c r="G9" s="14">
        <v>698.49</v>
      </c>
      <c r="H9" s="13">
        <v>831.5600000000002</v>
      </c>
      <c r="I9" s="58"/>
      <c r="J9" s="58"/>
      <c r="K9" s="58"/>
      <c r="L9" s="58"/>
      <c r="M9" s="58"/>
      <c r="N9" s="58"/>
    </row>
    <row r="10" spans="1:14" ht="21" customHeight="1">
      <c r="A10" s="9" t="s">
        <v>19</v>
      </c>
      <c r="B10" s="13">
        <f>B11+B13+B15+B17</f>
        <v>742.71</v>
      </c>
      <c r="C10" s="14">
        <f aca="true" t="shared" si="4" ref="C10:H10">C11+C13+C15+C17</f>
        <v>902.55</v>
      </c>
      <c r="D10" s="14">
        <f t="shared" si="4"/>
        <v>1299.62</v>
      </c>
      <c r="E10" s="14">
        <f t="shared" si="4"/>
        <v>1105.02</v>
      </c>
      <c r="F10" s="14">
        <f t="shared" si="4"/>
        <v>1722.5</v>
      </c>
      <c r="G10" s="14">
        <f t="shared" si="4"/>
        <v>2700.5299999999997</v>
      </c>
      <c r="H10" s="13">
        <f t="shared" si="4"/>
        <v>2684.2</v>
      </c>
      <c r="I10" s="58"/>
      <c r="J10" s="58"/>
      <c r="K10" s="58"/>
      <c r="L10" s="58"/>
      <c r="M10" s="58"/>
      <c r="N10" s="58"/>
    </row>
    <row r="11" spans="1:14" ht="30">
      <c r="A11" s="9" t="s">
        <v>20</v>
      </c>
      <c r="B11" s="16">
        <f>2.33+4.02</f>
        <v>6.35</v>
      </c>
      <c r="C11" s="17">
        <f>9.1+4.66+4.02</f>
        <v>17.78</v>
      </c>
      <c r="D11" s="17">
        <f>1.3+4.66+8.04</f>
        <v>14</v>
      </c>
      <c r="E11" s="17">
        <v>96.56</v>
      </c>
      <c r="F11" s="17">
        <v>106.03</v>
      </c>
      <c r="G11" s="17">
        <v>125.87</v>
      </c>
      <c r="H11" s="16">
        <v>73.26</v>
      </c>
      <c r="I11" s="58"/>
      <c r="J11" s="58"/>
      <c r="K11" s="58"/>
      <c r="L11" s="58"/>
      <c r="M11" s="58"/>
      <c r="N11" s="58"/>
    </row>
    <row r="12" spans="1:14" ht="30">
      <c r="A12" s="9" t="s">
        <v>58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8">
        <v>0</v>
      </c>
      <c r="I12" s="58"/>
      <c r="J12" s="58"/>
      <c r="K12" s="58"/>
      <c r="L12" s="58"/>
      <c r="M12" s="58"/>
      <c r="N12" s="58"/>
    </row>
    <row r="13" spans="1:14" ht="21" customHeight="1">
      <c r="A13" s="9" t="s">
        <v>21</v>
      </c>
      <c r="B13" s="16">
        <v>2.85</v>
      </c>
      <c r="C13" s="17">
        <v>50</v>
      </c>
      <c r="D13" s="17">
        <f>40+1.6+1.24</f>
        <v>42.84</v>
      </c>
      <c r="E13" s="19">
        <v>0</v>
      </c>
      <c r="F13" s="19">
        <v>0</v>
      </c>
      <c r="G13" s="19">
        <v>0</v>
      </c>
      <c r="H13" s="18">
        <v>0</v>
      </c>
      <c r="I13" s="58"/>
      <c r="J13" s="58"/>
      <c r="K13" s="58"/>
      <c r="L13" s="58"/>
      <c r="M13" s="58"/>
      <c r="N13" s="58"/>
    </row>
    <row r="14" spans="1:14" ht="30">
      <c r="A14" s="9" t="s">
        <v>58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8">
        <v>0</v>
      </c>
      <c r="I14" s="58"/>
      <c r="J14" s="58"/>
      <c r="K14" s="58"/>
      <c r="L14" s="58"/>
      <c r="M14" s="58"/>
      <c r="N14" s="58"/>
    </row>
    <row r="15" spans="1:14" ht="30">
      <c r="A15" s="9" t="s">
        <v>22</v>
      </c>
      <c r="B15" s="16">
        <f>742.71-B13-B11-B17</f>
        <v>652.84</v>
      </c>
      <c r="C15" s="17">
        <f>902.55-C13-C11-C17</f>
        <v>217.31999999999994</v>
      </c>
      <c r="D15" s="17">
        <f>1299.62-D13-D11-D17</f>
        <v>1228.01</v>
      </c>
      <c r="E15" s="17">
        <f>1105.02-E13-E11-E17</f>
        <v>983.7</v>
      </c>
      <c r="F15" s="17">
        <f>1722.5-F13-F11-F17</f>
        <v>1376.76</v>
      </c>
      <c r="G15" s="17">
        <f>2700.53-G13-G11-G17</f>
        <v>2544.42</v>
      </c>
      <c r="H15" s="16">
        <f>2684.2-H13-H11-H17</f>
        <v>2511.2299999999996</v>
      </c>
      <c r="I15" s="58"/>
      <c r="J15" s="58"/>
      <c r="K15" s="58"/>
      <c r="L15" s="58"/>
      <c r="M15" s="58"/>
      <c r="N15" s="58"/>
    </row>
    <row r="16" spans="1:14" ht="30">
      <c r="A16" s="9" t="s">
        <v>58</v>
      </c>
      <c r="B16" s="18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8">
        <v>0</v>
      </c>
      <c r="I16" s="58"/>
      <c r="J16" s="58"/>
      <c r="K16" s="58"/>
      <c r="L16" s="58"/>
      <c r="M16" s="58"/>
      <c r="N16" s="58"/>
    </row>
    <row r="17" spans="1:14" ht="21" customHeight="1">
      <c r="A17" s="9" t="s">
        <v>23</v>
      </c>
      <c r="B17" s="16">
        <f>87.02-B11</f>
        <v>80.67</v>
      </c>
      <c r="C17" s="17">
        <f>635.23-C11</f>
        <v>617.45</v>
      </c>
      <c r="D17" s="17">
        <f>28.77-D11</f>
        <v>14.77</v>
      </c>
      <c r="E17" s="17">
        <v>24.76</v>
      </c>
      <c r="F17" s="17">
        <f>345.74-F11</f>
        <v>239.71</v>
      </c>
      <c r="G17" s="17">
        <f>156.11-G11</f>
        <v>30.24000000000001</v>
      </c>
      <c r="H17" s="16">
        <f>172.97-H11</f>
        <v>99.71</v>
      </c>
      <c r="I17" s="58"/>
      <c r="J17" s="58"/>
      <c r="K17" s="58"/>
      <c r="L17" s="58"/>
      <c r="M17" s="58"/>
      <c r="N17" s="58"/>
    </row>
    <row r="18" spans="1:14" ht="30">
      <c r="A18" s="9" t="s">
        <v>58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8">
        <v>0</v>
      </c>
      <c r="I18" s="20"/>
      <c r="J18" s="20"/>
      <c r="K18" s="20"/>
      <c r="L18" s="21"/>
      <c r="M18" s="21"/>
      <c r="N18" s="21"/>
    </row>
    <row r="19" spans="1:14" ht="30">
      <c r="A19" s="22" t="s">
        <v>24</v>
      </c>
      <c r="B19" s="23">
        <f>B21+B27+B30</f>
        <v>2348.57</v>
      </c>
      <c r="C19" s="24">
        <f>C21+C27+C30</f>
        <v>2293.6</v>
      </c>
      <c r="D19" s="24">
        <f>D21+D27+D30</f>
        <v>2738.04</v>
      </c>
      <c r="E19" s="24">
        <f>E21+E27+E30+E33</f>
        <v>2907.53</v>
      </c>
      <c r="F19" s="24">
        <f aca="true" t="shared" si="5" ref="F19:N19">F21+F27+F30+F33</f>
        <v>3230.1400000000003</v>
      </c>
      <c r="G19" s="24">
        <f t="shared" si="5"/>
        <v>3594.37</v>
      </c>
      <c r="H19" s="23">
        <f t="shared" si="5"/>
        <v>3983.31</v>
      </c>
      <c r="I19" s="24">
        <f t="shared" si="5"/>
        <v>4463.938145104738</v>
      </c>
      <c r="J19" s="24">
        <f t="shared" si="5"/>
        <v>5012.888733002755</v>
      </c>
      <c r="K19" s="24">
        <f t="shared" si="5"/>
        <v>5464.795134863524</v>
      </c>
      <c r="L19" s="23">
        <f t="shared" si="5"/>
        <v>6068.357390172662</v>
      </c>
      <c r="M19" s="23">
        <f t="shared" si="5"/>
        <v>6582.82046014655</v>
      </c>
      <c r="N19" s="23">
        <f t="shared" si="5"/>
        <v>7462.108457925863</v>
      </c>
    </row>
    <row r="20" spans="1:14" ht="30">
      <c r="A20" s="22" t="s">
        <v>62</v>
      </c>
      <c r="B20" s="23"/>
      <c r="C20" s="24"/>
      <c r="D20" s="24"/>
      <c r="E20" s="24"/>
      <c r="F20" s="24"/>
      <c r="G20" s="24"/>
      <c r="H20" s="23"/>
      <c r="I20" s="24"/>
      <c r="J20" s="24"/>
      <c r="K20" s="24"/>
      <c r="L20" s="23"/>
      <c r="M20" s="23"/>
      <c r="N20" s="23"/>
    </row>
    <row r="21" spans="1:14" s="25" customFormat="1" ht="15">
      <c r="A21" s="6" t="s">
        <v>63</v>
      </c>
      <c r="B21" s="23">
        <f>+B22+B23+B24</f>
        <v>1567.29</v>
      </c>
      <c r="C21" s="24">
        <f aca="true" t="shared" si="6" ref="C21:N21">+C22+C23+C24</f>
        <v>1337.0299999999997</v>
      </c>
      <c r="D21" s="24">
        <f t="shared" si="6"/>
        <v>1547.1</v>
      </c>
      <c r="E21" s="24">
        <f t="shared" si="6"/>
        <v>1568.0500000000002</v>
      </c>
      <c r="F21" s="24">
        <f t="shared" si="6"/>
        <v>1535.3200000000002</v>
      </c>
      <c r="G21" s="24">
        <f t="shared" si="6"/>
        <v>1645.9699999999996</v>
      </c>
      <c r="H21" s="23">
        <f t="shared" si="6"/>
        <v>1763.98</v>
      </c>
      <c r="I21" s="24">
        <f t="shared" si="6"/>
        <v>2041.7336604319885</v>
      </c>
      <c r="J21" s="24">
        <f t="shared" si="6"/>
        <v>2270.973303433616</v>
      </c>
      <c r="K21" s="24">
        <f t="shared" si="6"/>
        <v>2387.446230443734</v>
      </c>
      <c r="L21" s="23">
        <f t="shared" si="6"/>
        <v>2610.3245856796557</v>
      </c>
      <c r="M21" s="23">
        <f t="shared" si="6"/>
        <v>2692.142601404901</v>
      </c>
      <c r="N21" s="23">
        <f t="shared" si="6"/>
        <v>3078.9748043391555</v>
      </c>
    </row>
    <row r="22" spans="1:14" ht="21.75" customHeight="1">
      <c r="A22" s="9" t="s">
        <v>25</v>
      </c>
      <c r="B22" s="26">
        <v>117.74000000000001</v>
      </c>
      <c r="C22" s="27">
        <v>142.64</v>
      </c>
      <c r="D22" s="27">
        <v>154.42999999999998</v>
      </c>
      <c r="E22" s="27">
        <v>186.76999999999998</v>
      </c>
      <c r="F22" s="27">
        <v>190.83</v>
      </c>
      <c r="G22" s="27">
        <v>201.38</v>
      </c>
      <c r="H22" s="54">
        <v>206.72</v>
      </c>
      <c r="I22" s="54">
        <v>231.3936604319884</v>
      </c>
      <c r="J22" s="54">
        <v>259.2633034336162</v>
      </c>
      <c r="K22" s="54">
        <v>290.746230443734</v>
      </c>
      <c r="L22" s="54">
        <v>326.3145856796558</v>
      </c>
      <c r="M22" s="54">
        <v>366.50260140490127</v>
      </c>
      <c r="N22" s="26">
        <v>411.91480433915575</v>
      </c>
    </row>
    <row r="23" spans="1:14" ht="30">
      <c r="A23" s="9" t="s">
        <v>26</v>
      </c>
      <c r="B23" s="26">
        <v>50.2</v>
      </c>
      <c r="C23" s="27">
        <v>59.46</v>
      </c>
      <c r="D23" s="27">
        <v>125.75</v>
      </c>
      <c r="E23" s="27">
        <v>160.13</v>
      </c>
      <c r="F23" s="27">
        <v>173.76</v>
      </c>
      <c r="G23" s="27">
        <v>239.66</v>
      </c>
      <c r="H23" s="26">
        <v>283.57</v>
      </c>
      <c r="I23" s="27">
        <v>455.15</v>
      </c>
      <c r="J23" s="27">
        <v>559.56</v>
      </c>
      <c r="K23" s="27">
        <v>546.7</v>
      </c>
      <c r="L23" s="26">
        <v>591.36</v>
      </c>
      <c r="M23" s="26">
        <v>510.75</v>
      </c>
      <c r="N23" s="26">
        <v>667</v>
      </c>
    </row>
    <row r="24" spans="1:14" ht="30">
      <c r="A24" s="9" t="s">
        <v>27</v>
      </c>
      <c r="B24" s="28">
        <f>B25+B26</f>
        <v>1399.35</v>
      </c>
      <c r="C24" s="28">
        <f aca="true" t="shared" si="7" ref="C24:N24">C25+C26</f>
        <v>1134.9299999999998</v>
      </c>
      <c r="D24" s="28">
        <f t="shared" si="7"/>
        <v>1266.9199999999998</v>
      </c>
      <c r="E24" s="28">
        <f t="shared" si="7"/>
        <v>1221.15</v>
      </c>
      <c r="F24" s="28">
        <f t="shared" si="7"/>
        <v>1170.73</v>
      </c>
      <c r="G24" s="28">
        <f t="shared" si="7"/>
        <v>1204.9299999999996</v>
      </c>
      <c r="H24" s="28">
        <f t="shared" si="7"/>
        <v>1273.69</v>
      </c>
      <c r="I24" s="28">
        <f t="shared" si="7"/>
        <v>1355.19</v>
      </c>
      <c r="J24" s="28">
        <f t="shared" si="7"/>
        <v>1452.1499999999999</v>
      </c>
      <c r="K24" s="28">
        <f t="shared" si="7"/>
        <v>1550</v>
      </c>
      <c r="L24" s="28">
        <f t="shared" si="7"/>
        <v>1692.65</v>
      </c>
      <c r="M24" s="28">
        <f t="shared" si="7"/>
        <v>1814.8899999999999</v>
      </c>
      <c r="N24" s="28">
        <f t="shared" si="7"/>
        <v>2000.06</v>
      </c>
    </row>
    <row r="25" spans="1:14" ht="21.75" customHeight="1">
      <c r="A25" s="9" t="s">
        <v>28</v>
      </c>
      <c r="B25" s="28">
        <f>17.36</f>
        <v>17.36</v>
      </c>
      <c r="C25" s="29">
        <v>9.12</v>
      </c>
      <c r="D25" s="30">
        <v>35.12</v>
      </c>
      <c r="E25" s="30">
        <v>19.04</v>
      </c>
      <c r="F25" s="30">
        <v>29.29</v>
      </c>
      <c r="G25" s="30">
        <v>29.37</v>
      </c>
      <c r="H25" s="31">
        <v>54.42</v>
      </c>
      <c r="I25" s="30">
        <v>60.52</v>
      </c>
      <c r="J25" s="30">
        <v>67.3</v>
      </c>
      <c r="K25" s="30">
        <v>74.85</v>
      </c>
      <c r="L25" s="31">
        <v>83.24</v>
      </c>
      <c r="M25" s="31">
        <v>92.57</v>
      </c>
      <c r="N25" s="31">
        <v>102.95</v>
      </c>
    </row>
    <row r="26" spans="1:14" ht="21.75" customHeight="1">
      <c r="A26" s="9" t="s">
        <v>29</v>
      </c>
      <c r="B26" s="26">
        <f>1549.93-B22-B23</f>
        <v>1381.99</v>
      </c>
      <c r="C26" s="27">
        <f>1327.91-C22-C23</f>
        <v>1125.81</v>
      </c>
      <c r="D26" s="27">
        <f>1511.98-D22-D23</f>
        <v>1231.8</v>
      </c>
      <c r="E26" s="27">
        <f>1549.01-E22-E23</f>
        <v>1202.1100000000001</v>
      </c>
      <c r="F26" s="27">
        <f>1506.03-F22-F23</f>
        <v>1141.44</v>
      </c>
      <c r="G26" s="27">
        <f>1616.6-G22-G23</f>
        <v>1175.5599999999997</v>
      </c>
      <c r="H26" s="26">
        <f>1709.56-H22-H23</f>
        <v>1219.27</v>
      </c>
      <c r="I26" s="27">
        <v>1294.67</v>
      </c>
      <c r="J26" s="27">
        <v>1384.85</v>
      </c>
      <c r="K26" s="27">
        <v>1475.15</v>
      </c>
      <c r="L26" s="26">
        <v>1609.41</v>
      </c>
      <c r="M26" s="26">
        <v>1722.32</v>
      </c>
      <c r="N26" s="26">
        <v>1897.11</v>
      </c>
    </row>
    <row r="27" spans="1:14" s="25" customFormat="1" ht="21.75" customHeight="1">
      <c r="A27" s="6" t="s">
        <v>30</v>
      </c>
      <c r="B27" s="23">
        <f>B28+B29</f>
        <v>460.71000000000004</v>
      </c>
      <c r="C27" s="24">
        <f aca="true" t="shared" si="8" ref="C27:N27">C28+C29</f>
        <v>562.42</v>
      </c>
      <c r="D27" s="24">
        <f t="shared" si="8"/>
        <v>710.8100000000001</v>
      </c>
      <c r="E27" s="24">
        <f t="shared" si="8"/>
        <v>828.9200000000001</v>
      </c>
      <c r="F27" s="24">
        <f t="shared" si="8"/>
        <v>1049.33</v>
      </c>
      <c r="G27" s="24">
        <f t="shared" si="8"/>
        <v>1083.9900000000002</v>
      </c>
      <c r="H27" s="23">
        <f t="shared" si="8"/>
        <v>1316.12</v>
      </c>
      <c r="I27" s="24">
        <f t="shared" si="8"/>
        <v>1399.3600000000001</v>
      </c>
      <c r="J27" s="24">
        <f t="shared" si="8"/>
        <v>1562.6799999999998</v>
      </c>
      <c r="K27" s="24">
        <f t="shared" si="8"/>
        <v>1744.28</v>
      </c>
      <c r="L27" s="23">
        <f t="shared" si="8"/>
        <v>1945.87</v>
      </c>
      <c r="M27" s="23">
        <f t="shared" si="8"/>
        <v>2169.2799999999997</v>
      </c>
      <c r="N27" s="23">
        <f t="shared" si="8"/>
        <v>2416.3500000000004</v>
      </c>
    </row>
    <row r="28" spans="1:14" ht="21" customHeight="1">
      <c r="A28" s="9" t="s">
        <v>28</v>
      </c>
      <c r="B28" s="26">
        <v>208.87</v>
      </c>
      <c r="C28" s="27">
        <v>265.8</v>
      </c>
      <c r="D28" s="27">
        <v>282.42</v>
      </c>
      <c r="E28" s="27">
        <v>367.98</v>
      </c>
      <c r="F28" s="27">
        <v>358.28</v>
      </c>
      <c r="G28" s="27">
        <v>517.71</v>
      </c>
      <c r="H28" s="26">
        <v>645.19</v>
      </c>
      <c r="I28" s="27">
        <v>717.77</v>
      </c>
      <c r="J28" s="27">
        <v>798.52</v>
      </c>
      <c r="K28" s="47">
        <v>888.36</v>
      </c>
      <c r="L28" s="26">
        <v>988.3</v>
      </c>
      <c r="M28" s="26">
        <v>1099.48</v>
      </c>
      <c r="N28" s="26">
        <v>1223.17</v>
      </c>
    </row>
    <row r="29" spans="1:14" ht="21" customHeight="1">
      <c r="A29" s="9" t="s">
        <v>29</v>
      </c>
      <c r="B29" s="26">
        <v>251.84</v>
      </c>
      <c r="C29" s="27">
        <v>296.61999999999995</v>
      </c>
      <c r="D29" s="27">
        <v>428.39000000000004</v>
      </c>
      <c r="E29" s="27">
        <v>460.94000000000005</v>
      </c>
      <c r="F29" s="27">
        <v>691.0500000000001</v>
      </c>
      <c r="G29" s="27">
        <v>566.2800000000001</v>
      </c>
      <c r="H29" s="26">
        <v>670.93</v>
      </c>
      <c r="I29" s="27">
        <v>681.59</v>
      </c>
      <c r="J29" s="27">
        <v>764.16</v>
      </c>
      <c r="K29" s="47">
        <v>855.92</v>
      </c>
      <c r="L29" s="26">
        <v>957.57</v>
      </c>
      <c r="M29" s="26">
        <v>1069.8</v>
      </c>
      <c r="N29" s="26">
        <v>1193.18</v>
      </c>
    </row>
    <row r="30" spans="1:14" s="25" customFormat="1" ht="21" customHeight="1">
      <c r="A30" s="6" t="s">
        <v>31</v>
      </c>
      <c r="B30" s="23">
        <f>B31+B32</f>
        <v>320.57</v>
      </c>
      <c r="C30" s="24">
        <f aca="true" t="shared" si="9" ref="C30:N30">C31+C32</f>
        <v>394.15</v>
      </c>
      <c r="D30" s="24">
        <f t="shared" si="9"/>
        <v>480.13</v>
      </c>
      <c r="E30" s="24">
        <f t="shared" si="9"/>
        <v>497.61</v>
      </c>
      <c r="F30" s="24">
        <f t="shared" si="9"/>
        <v>614.03</v>
      </c>
      <c r="G30" s="24">
        <f t="shared" si="9"/>
        <v>814.53</v>
      </c>
      <c r="H30" s="23">
        <f t="shared" si="9"/>
        <v>848.1</v>
      </c>
      <c r="I30" s="24">
        <f t="shared" si="9"/>
        <v>961.5344846727498</v>
      </c>
      <c r="J30" s="24">
        <f t="shared" si="9"/>
        <v>1081.0254295691389</v>
      </c>
      <c r="K30" s="24">
        <f t="shared" si="9"/>
        <v>1226.588904419791</v>
      </c>
      <c r="L30" s="23">
        <f t="shared" si="9"/>
        <v>1396.532804493006</v>
      </c>
      <c r="M30" s="23">
        <f t="shared" si="9"/>
        <v>1595.6478587416495</v>
      </c>
      <c r="N30" s="23">
        <f t="shared" si="9"/>
        <v>1829.8336535867074</v>
      </c>
    </row>
    <row r="31" spans="1:14" ht="21" customHeight="1">
      <c r="A31" s="9" t="s">
        <v>28</v>
      </c>
      <c r="B31" s="26">
        <v>193.54</v>
      </c>
      <c r="C31" s="27">
        <v>242.81</v>
      </c>
      <c r="D31" s="27">
        <v>255.16</v>
      </c>
      <c r="E31" s="27">
        <v>288.25</v>
      </c>
      <c r="F31" s="27">
        <v>360.81</v>
      </c>
      <c r="G31" s="27">
        <v>519.18</v>
      </c>
      <c r="H31" s="26">
        <v>525.48</v>
      </c>
      <c r="I31" s="27">
        <v>575.88</v>
      </c>
      <c r="J31" s="27">
        <v>631.95</v>
      </c>
      <c r="K31" s="27">
        <v>694.33</v>
      </c>
      <c r="L31" s="26">
        <v>763.73</v>
      </c>
      <c r="M31" s="26">
        <v>840.93</v>
      </c>
      <c r="N31" s="26">
        <v>926.82</v>
      </c>
    </row>
    <row r="32" spans="1:14" ht="21" customHeight="1">
      <c r="A32" s="9" t="s">
        <v>29</v>
      </c>
      <c r="B32" s="26">
        <v>127.03</v>
      </c>
      <c r="C32" s="27">
        <v>151.33999999999997</v>
      </c>
      <c r="D32" s="27">
        <v>224.96999999999997</v>
      </c>
      <c r="E32" s="27">
        <v>209.36000000000004</v>
      </c>
      <c r="F32" s="27">
        <v>253.21999999999997</v>
      </c>
      <c r="G32" s="27">
        <v>295.35</v>
      </c>
      <c r="H32" s="26">
        <v>322.62</v>
      </c>
      <c r="I32" s="27">
        <v>385.6544846727498</v>
      </c>
      <c r="J32" s="27">
        <v>449.07542956913886</v>
      </c>
      <c r="K32" s="27">
        <v>532.2589044197912</v>
      </c>
      <c r="L32" s="26">
        <v>632.802804493006</v>
      </c>
      <c r="M32" s="26">
        <v>754.7178587416495</v>
      </c>
      <c r="N32" s="26">
        <v>903.0136535867074</v>
      </c>
    </row>
    <row r="33" spans="1:14" s="25" customFormat="1" ht="30">
      <c r="A33" s="22" t="s">
        <v>32</v>
      </c>
      <c r="B33" s="23"/>
      <c r="C33" s="24"/>
      <c r="D33" s="24"/>
      <c r="E33" s="24">
        <v>12.95</v>
      </c>
      <c r="F33" s="24">
        <v>31.46</v>
      </c>
      <c r="G33" s="24">
        <v>49.88</v>
      </c>
      <c r="H33" s="23">
        <v>55.11</v>
      </c>
      <c r="I33" s="24">
        <v>61.31</v>
      </c>
      <c r="J33" s="24">
        <v>98.21</v>
      </c>
      <c r="K33" s="24">
        <v>106.48</v>
      </c>
      <c r="L33" s="23">
        <v>115.63</v>
      </c>
      <c r="M33" s="23">
        <v>125.75</v>
      </c>
      <c r="N33" s="23">
        <v>136.95</v>
      </c>
    </row>
    <row r="34" spans="1:14" ht="21" customHeight="1">
      <c r="A34" s="6" t="s">
        <v>33</v>
      </c>
      <c r="B34" s="23">
        <f>B35+B36</f>
        <v>415.47</v>
      </c>
      <c r="C34" s="24">
        <f aca="true" t="shared" si="10" ref="C34:N34">SUM(C35:C36)</f>
        <v>612.02</v>
      </c>
      <c r="D34" s="24">
        <f t="shared" si="10"/>
        <v>685.5</v>
      </c>
      <c r="E34" s="24">
        <f t="shared" si="10"/>
        <v>456.82</v>
      </c>
      <c r="F34" s="24">
        <f t="shared" si="10"/>
        <v>664.93</v>
      </c>
      <c r="G34" s="24">
        <f t="shared" si="10"/>
        <v>1504.6500000000003</v>
      </c>
      <c r="H34" s="23">
        <f t="shared" si="10"/>
        <v>1325.4067</v>
      </c>
      <c r="I34" s="24">
        <f t="shared" si="10"/>
        <v>1471.1084537500003</v>
      </c>
      <c r="J34" s="24">
        <f t="shared" si="10"/>
        <v>1633.2016547968751</v>
      </c>
      <c r="K34" s="24">
        <f t="shared" si="10"/>
        <v>1813.5303409615237</v>
      </c>
      <c r="L34" s="23">
        <f t="shared" si="10"/>
        <v>2014.1460043196948</v>
      </c>
      <c r="M34" s="23">
        <f t="shared" si="10"/>
        <v>2237.3309298056606</v>
      </c>
      <c r="N34" s="23">
        <f t="shared" si="10"/>
        <v>2485.624159408798</v>
      </c>
    </row>
    <row r="35" spans="1:14" ht="21" customHeight="1">
      <c r="A35" s="9" t="s">
        <v>34</v>
      </c>
      <c r="B35" s="26">
        <v>415.47</v>
      </c>
      <c r="C35" s="27">
        <v>611.77</v>
      </c>
      <c r="D35" s="27">
        <v>648.52</v>
      </c>
      <c r="E35" s="27">
        <v>451.07</v>
      </c>
      <c r="F35" s="27">
        <v>615.76</v>
      </c>
      <c r="G35" s="32">
        <v>1499.2500000000002</v>
      </c>
      <c r="H35" s="33">
        <v>1315.0067</v>
      </c>
      <c r="I35" s="32">
        <v>1460.7084537500002</v>
      </c>
      <c r="J35" s="32">
        <v>1622.801654796875</v>
      </c>
      <c r="K35" s="32">
        <v>1803.1303409615236</v>
      </c>
      <c r="L35" s="33">
        <v>2003.7460043196947</v>
      </c>
      <c r="M35" s="33">
        <v>2226.9309298056605</v>
      </c>
      <c r="N35" s="33">
        <v>2475.2241594087977</v>
      </c>
    </row>
    <row r="36" spans="1:14" ht="30">
      <c r="A36" s="9" t="s">
        <v>35</v>
      </c>
      <c r="B36" s="26">
        <v>0</v>
      </c>
      <c r="C36" s="27">
        <v>0.25</v>
      </c>
      <c r="D36" s="27">
        <v>36.98</v>
      </c>
      <c r="E36" s="27">
        <v>5.75</v>
      </c>
      <c r="F36" s="27">
        <v>49.17</v>
      </c>
      <c r="G36" s="27">
        <v>5.4</v>
      </c>
      <c r="H36" s="26">
        <v>10.4</v>
      </c>
      <c r="I36" s="27">
        <v>10.4</v>
      </c>
      <c r="J36" s="27">
        <v>10.4</v>
      </c>
      <c r="K36" s="27">
        <v>10.4</v>
      </c>
      <c r="L36" s="26">
        <v>10.4</v>
      </c>
      <c r="M36" s="26">
        <v>10.4</v>
      </c>
      <c r="N36" s="26">
        <v>10.4</v>
      </c>
    </row>
    <row r="37" spans="1:14" ht="21" customHeight="1">
      <c r="A37" s="6" t="s">
        <v>36</v>
      </c>
      <c r="B37" s="23">
        <f>B38+B42+B43+B44+B45+B46</f>
        <v>79.24999999999994</v>
      </c>
      <c r="C37" s="24">
        <f aca="true" t="shared" si="11" ref="C37:N37">C38+C42+C43+C44+C45+C46</f>
        <v>270.22999999999985</v>
      </c>
      <c r="D37" s="24">
        <f t="shared" si="11"/>
        <v>188.45999999999947</v>
      </c>
      <c r="E37" s="24">
        <f t="shared" si="11"/>
        <v>356.8300000000001</v>
      </c>
      <c r="F37" s="24">
        <f t="shared" si="11"/>
        <v>196.39999999999978</v>
      </c>
      <c r="G37" s="24">
        <f t="shared" si="11"/>
        <v>244.1699999999999</v>
      </c>
      <c r="H37" s="23">
        <f t="shared" si="11"/>
        <v>312.7600000000001</v>
      </c>
      <c r="I37" s="24">
        <f t="shared" si="11"/>
        <v>348.58000000000015</v>
      </c>
      <c r="J37" s="24">
        <f t="shared" si="11"/>
        <v>387.58000000000015</v>
      </c>
      <c r="K37" s="24">
        <f t="shared" si="11"/>
        <v>430.58000000000015</v>
      </c>
      <c r="L37" s="23">
        <f t="shared" si="11"/>
        <v>479.58000000000015</v>
      </c>
      <c r="M37" s="23">
        <f t="shared" si="11"/>
        <v>532.5800000000002</v>
      </c>
      <c r="N37" s="23">
        <f t="shared" si="11"/>
        <v>592.5800000000002</v>
      </c>
    </row>
    <row r="38" spans="1:14" ht="21" customHeight="1">
      <c r="A38" s="9" t="s">
        <v>37</v>
      </c>
      <c r="B38" s="18">
        <f>'[1]St.1a'!$C$20</f>
        <v>0</v>
      </c>
      <c r="C38" s="19">
        <f>'[1]St.1a'!$D$20</f>
        <v>0</v>
      </c>
      <c r="D38" s="19">
        <f>'[1]St.1a'!$E$20</f>
        <v>0</v>
      </c>
      <c r="E38" s="19">
        <f>'[1]St.1a'!$F$20</f>
        <v>0</v>
      </c>
      <c r="F38" s="19">
        <f>'[1]St.1a'!$G$20</f>
        <v>42.25</v>
      </c>
      <c r="G38" s="19">
        <f>'[1]St.1a'!$C$20</f>
        <v>0</v>
      </c>
      <c r="H38" s="18">
        <f>'[1]St.1a'!$C$20</f>
        <v>0</v>
      </c>
      <c r="I38" s="19">
        <f>'[1]St.1a'!$C$20</f>
        <v>0</v>
      </c>
      <c r="J38" s="19">
        <f>'[1]St.1a'!$C$20</f>
        <v>0</v>
      </c>
      <c r="K38" s="19">
        <f>'[1]St.1a'!$C$20</f>
        <v>0</v>
      </c>
      <c r="L38" s="18">
        <f>'[1]St.1a'!$C$20</f>
        <v>0</v>
      </c>
      <c r="M38" s="18">
        <f>'[1]St.1a'!$C$20</f>
        <v>0</v>
      </c>
      <c r="N38" s="18">
        <f>'[1]St.1a'!$C$20</f>
        <v>0</v>
      </c>
    </row>
    <row r="39" spans="1:14" ht="30">
      <c r="A39" s="34" t="s">
        <v>38</v>
      </c>
      <c r="B39" s="18">
        <f>'[1]St.1a'!$C$20</f>
        <v>0</v>
      </c>
      <c r="C39" s="19">
        <f>'[1]St.1a'!$C$20</f>
        <v>0</v>
      </c>
      <c r="D39" s="19">
        <f>'[1]St.1a'!$C$20</f>
        <v>0</v>
      </c>
      <c r="E39" s="19">
        <f>'[1]St.1a'!$C$20</f>
        <v>0</v>
      </c>
      <c r="F39" s="19">
        <f>'[1]St.1a'!$G$21</f>
        <v>0</v>
      </c>
      <c r="G39" s="19">
        <f>'[1]St.1a'!$C$20</f>
        <v>0</v>
      </c>
      <c r="H39" s="18">
        <f>'[1]St.1a'!$C$20</f>
        <v>0</v>
      </c>
      <c r="I39" s="19">
        <f>'[1]St.1a'!$C$20</f>
        <v>0</v>
      </c>
      <c r="J39" s="19">
        <f>'[1]St.1a'!$C$20</f>
        <v>0</v>
      </c>
      <c r="K39" s="19">
        <f>'[1]St.1a'!$C$20</f>
        <v>0</v>
      </c>
      <c r="L39" s="18">
        <f>'[1]St.1a'!$C$20</f>
        <v>0</v>
      </c>
      <c r="M39" s="18">
        <f>'[1]St.1a'!$C$20</f>
        <v>0</v>
      </c>
      <c r="N39" s="18">
        <f>'[1]St.1a'!$C$20</f>
        <v>0</v>
      </c>
    </row>
    <row r="40" spans="1:14" ht="30">
      <c r="A40" s="34" t="s">
        <v>39</v>
      </c>
      <c r="B40" s="18">
        <f>'[1]St.1a'!$C$20</f>
        <v>0</v>
      </c>
      <c r="C40" s="19">
        <f>'[1]St.1a'!$C$20</f>
        <v>0</v>
      </c>
      <c r="D40" s="19">
        <f>'[1]St.1a'!$C$20</f>
        <v>0</v>
      </c>
      <c r="E40" s="19">
        <f>'[1]St.1a'!$C$20</f>
        <v>0</v>
      </c>
      <c r="F40" s="19">
        <f>'[1]St.1a'!$C$20</f>
        <v>0</v>
      </c>
      <c r="G40" s="19">
        <f>'[1]St.1a'!$C$20</f>
        <v>0</v>
      </c>
      <c r="H40" s="18">
        <f>'[1]St.1a'!$C$20</f>
        <v>0</v>
      </c>
      <c r="I40" s="19">
        <f>'[1]St.1a'!$C$20</f>
        <v>0</v>
      </c>
      <c r="J40" s="19">
        <f>'[1]St.1a'!$C$20</f>
        <v>0</v>
      </c>
      <c r="K40" s="19">
        <f>'[1]St.1a'!$C$20</f>
        <v>0</v>
      </c>
      <c r="L40" s="18">
        <f>'[1]St.1a'!$C$20</f>
        <v>0</v>
      </c>
      <c r="M40" s="18">
        <f>'[1]St.1a'!$C$20</f>
        <v>0</v>
      </c>
      <c r="N40" s="18">
        <f>'[1]St.1a'!$C$20</f>
        <v>0</v>
      </c>
    </row>
    <row r="41" spans="1:14" ht="17.25" customHeight="1">
      <c r="A41" s="34" t="s">
        <v>40</v>
      </c>
      <c r="B41" s="18">
        <f>'[1]St.1a'!$C$20</f>
        <v>0</v>
      </c>
      <c r="C41" s="19">
        <f>'[1]St.1a'!$C$20</f>
        <v>0</v>
      </c>
      <c r="D41" s="19">
        <f>'[1]St.1a'!$C$20</f>
        <v>0</v>
      </c>
      <c r="E41" s="19">
        <f>'[1]St.1a'!$C$20</f>
        <v>0</v>
      </c>
      <c r="F41" s="19">
        <v>42.25</v>
      </c>
      <c r="G41" s="19">
        <f>'[1]St.1a'!$C$20</f>
        <v>0</v>
      </c>
      <c r="H41" s="18">
        <f>'[1]St.1a'!$C$20</f>
        <v>0</v>
      </c>
      <c r="I41" s="19">
        <f>'[1]St.1a'!$C$20</f>
        <v>0</v>
      </c>
      <c r="J41" s="19">
        <f>'[1]St.1a'!$C$20</f>
        <v>0</v>
      </c>
      <c r="K41" s="19">
        <f>'[1]St.1a'!$C$20</f>
        <v>0</v>
      </c>
      <c r="L41" s="18">
        <f>'[1]St.1a'!$C$20</f>
        <v>0</v>
      </c>
      <c r="M41" s="18">
        <f>'[1]St.1a'!$C$20</f>
        <v>0</v>
      </c>
      <c r="N41" s="18">
        <f>'[1]St.1a'!$C$20</f>
        <v>0</v>
      </c>
    </row>
    <row r="42" spans="1:14" ht="21" customHeight="1">
      <c r="A42" s="9" t="s">
        <v>41</v>
      </c>
      <c r="B42" s="26">
        <f>274.07-40.9</f>
        <v>233.17</v>
      </c>
      <c r="C42" s="27">
        <v>276.88</v>
      </c>
      <c r="D42" s="27">
        <v>324.3</v>
      </c>
      <c r="E42" s="27">
        <v>43.64999999999999</v>
      </c>
      <c r="F42" s="27">
        <v>41.59</v>
      </c>
      <c r="G42" s="27">
        <v>169.95</v>
      </c>
      <c r="H42" s="26">
        <v>307.4</v>
      </c>
      <c r="I42" s="27">
        <v>343.39</v>
      </c>
      <c r="J42" s="27">
        <v>382.57</v>
      </c>
      <c r="K42" s="27">
        <v>425.96</v>
      </c>
      <c r="L42" s="26">
        <v>475.2</v>
      </c>
      <c r="M42" s="26">
        <v>528.46</v>
      </c>
      <c r="N42" s="26">
        <v>588.73</v>
      </c>
    </row>
    <row r="43" spans="1:14" ht="21" customHeight="1">
      <c r="A43" s="9" t="s">
        <v>42</v>
      </c>
      <c r="B43" s="26">
        <f>5.55-14.66</f>
        <v>-9.11</v>
      </c>
      <c r="C43" s="27">
        <v>-15.709999999999999</v>
      </c>
      <c r="D43" s="27">
        <v>-18.49</v>
      </c>
      <c r="E43" s="27">
        <v>-21.85</v>
      </c>
      <c r="F43" s="27">
        <v>-2.8099999999999996</v>
      </c>
      <c r="G43" s="27">
        <v>4.050000000000001</v>
      </c>
      <c r="H43" s="26">
        <v>3.7799999999999994</v>
      </c>
      <c r="I43" s="27">
        <v>3.61</v>
      </c>
      <c r="J43" s="27">
        <v>3.43</v>
      </c>
      <c r="K43" s="27">
        <v>3.04</v>
      </c>
      <c r="L43" s="26">
        <v>2.8</v>
      </c>
      <c r="M43" s="26">
        <v>2.54</v>
      </c>
      <c r="N43" s="26">
        <v>2.27</v>
      </c>
    </row>
    <row r="44" spans="1:14" ht="30">
      <c r="A44" s="9" t="s">
        <v>43</v>
      </c>
      <c r="B44" s="26">
        <v>0.38</v>
      </c>
      <c r="C44" s="29">
        <v>0.38</v>
      </c>
      <c r="D44" s="27">
        <v>0.3</v>
      </c>
      <c r="E44" s="27">
        <v>0.79</v>
      </c>
      <c r="F44" s="27">
        <v>0.03</v>
      </c>
      <c r="G44" s="27">
        <v>0.8</v>
      </c>
      <c r="H44" s="26">
        <v>0.78</v>
      </c>
      <c r="I44" s="27">
        <v>0.78</v>
      </c>
      <c r="J44" s="27">
        <v>0.78</v>
      </c>
      <c r="K44" s="27">
        <v>0.78</v>
      </c>
      <c r="L44" s="26">
        <v>0.78</v>
      </c>
      <c r="M44" s="26">
        <v>0.78</v>
      </c>
      <c r="N44" s="26">
        <v>0.78</v>
      </c>
    </row>
    <row r="45" spans="1:14" ht="30">
      <c r="A45" s="9" t="s">
        <v>44</v>
      </c>
      <c r="B45" s="18">
        <f>'[1]St.1a'!$C$23</f>
        <v>0</v>
      </c>
      <c r="C45" s="19">
        <f>'[1]St.1a'!$C$23</f>
        <v>0</v>
      </c>
      <c r="D45" s="19">
        <f>'[1]St.1a'!$C$23</f>
        <v>0</v>
      </c>
      <c r="E45" s="19">
        <f>'[1]St.1a'!$C$23</f>
        <v>0</v>
      </c>
      <c r="F45" s="19">
        <v>0</v>
      </c>
      <c r="G45" s="27"/>
      <c r="H45" s="26"/>
      <c r="I45" s="27"/>
      <c r="J45" s="27"/>
      <c r="K45" s="27"/>
      <c r="L45" s="26"/>
      <c r="M45" s="26"/>
      <c r="N45" s="26"/>
    </row>
    <row r="46" spans="1:14" ht="21" customHeight="1">
      <c r="A46" s="9" t="s">
        <v>45</v>
      </c>
      <c r="B46" s="26">
        <f>SUM(B47:B49)</f>
        <v>-145.19000000000005</v>
      </c>
      <c r="C46" s="27">
        <f aca="true" t="shared" si="12" ref="C46:J46">SUM(C47:C49)</f>
        <v>8.679999999999836</v>
      </c>
      <c r="D46" s="27">
        <f>SUM(D47:D49)</f>
        <v>-117.65000000000055</v>
      </c>
      <c r="E46" s="27">
        <f>SUM(E47:E49)</f>
        <v>334.2400000000001</v>
      </c>
      <c r="F46" s="27">
        <f t="shared" si="12"/>
        <v>115.33999999999978</v>
      </c>
      <c r="G46" s="27">
        <f t="shared" si="12"/>
        <v>69.36999999999989</v>
      </c>
      <c r="H46" s="26">
        <f t="shared" si="12"/>
        <v>0.8000000000001819</v>
      </c>
      <c r="I46" s="27">
        <f t="shared" si="12"/>
        <v>0.8000000000001819</v>
      </c>
      <c r="J46" s="27">
        <f t="shared" si="12"/>
        <v>0.8000000000001819</v>
      </c>
      <c r="K46" s="27">
        <f>SUM(K47:K49)</f>
        <v>0.8000000000001819</v>
      </c>
      <c r="L46" s="26">
        <f>SUM(L47:L49)</f>
        <v>0.8000000000001819</v>
      </c>
      <c r="M46" s="26">
        <f>SUM(M47:M49)</f>
        <v>0.8000000000001819</v>
      </c>
      <c r="N46" s="26">
        <f>SUM(N47:N49)</f>
        <v>0.8000000000001819</v>
      </c>
    </row>
    <row r="47" spans="1:14" ht="21" customHeight="1">
      <c r="A47" s="9" t="s">
        <v>46</v>
      </c>
      <c r="B47" s="18">
        <f>'[1]St.1a'!$C$23</f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8">
        <v>0</v>
      </c>
      <c r="I47" s="19">
        <v>0</v>
      </c>
      <c r="J47" s="19">
        <v>0</v>
      </c>
      <c r="K47" s="19">
        <v>0</v>
      </c>
      <c r="L47" s="18">
        <v>0</v>
      </c>
      <c r="M47" s="18">
        <v>0</v>
      </c>
      <c r="N47" s="18">
        <v>0</v>
      </c>
    </row>
    <row r="48" spans="1:14" ht="21" customHeight="1">
      <c r="A48" s="9" t="s">
        <v>47</v>
      </c>
      <c r="B48" s="18">
        <f>'[1]St.1a'!$C$24</f>
        <v>0</v>
      </c>
      <c r="C48" s="19">
        <v>0</v>
      </c>
      <c r="D48" s="19">
        <v>0</v>
      </c>
      <c r="E48" s="17">
        <f>0-0.1</f>
        <v>-0.1</v>
      </c>
      <c r="F48" s="19">
        <f>0.1-0</f>
        <v>0.1</v>
      </c>
      <c r="G48" s="19">
        <v>0</v>
      </c>
      <c r="H48" s="18">
        <v>0</v>
      </c>
      <c r="I48" s="19">
        <v>0</v>
      </c>
      <c r="J48" s="19">
        <v>0</v>
      </c>
      <c r="K48" s="19">
        <v>0</v>
      </c>
      <c r="L48" s="18">
        <v>0</v>
      </c>
      <c r="M48" s="18">
        <v>0</v>
      </c>
      <c r="N48" s="18">
        <v>0</v>
      </c>
    </row>
    <row r="49" spans="1:14" ht="21" customHeight="1">
      <c r="A49" s="9" t="s">
        <v>48</v>
      </c>
      <c r="B49" s="35">
        <f>2549.36-2694.55</f>
        <v>-145.19000000000005</v>
      </c>
      <c r="C49" s="36">
        <f>3444.56-3435.88</f>
        <v>8.679999999999836</v>
      </c>
      <c r="D49" s="36">
        <f>4558.62-4676.27</f>
        <v>-117.65000000000055</v>
      </c>
      <c r="E49" s="36">
        <f>3994.75-3660.41</f>
        <v>334.34000000000015</v>
      </c>
      <c r="F49" s="36">
        <f>5172.16-5056.92</f>
        <v>115.23999999999978</v>
      </c>
      <c r="G49" s="37">
        <f>4799.93-4730.56</f>
        <v>69.36999999999989</v>
      </c>
      <c r="H49" s="35">
        <f>5481.2-5480.4</f>
        <v>0.8000000000001819</v>
      </c>
      <c r="I49" s="36">
        <f aca="true" t="shared" si="13" ref="I49:N49">5481.2-5480.4</f>
        <v>0.8000000000001819</v>
      </c>
      <c r="J49" s="36">
        <f t="shared" si="13"/>
        <v>0.8000000000001819</v>
      </c>
      <c r="K49" s="36">
        <f t="shared" si="13"/>
        <v>0.8000000000001819</v>
      </c>
      <c r="L49" s="35">
        <f t="shared" si="13"/>
        <v>0.8000000000001819</v>
      </c>
      <c r="M49" s="35">
        <f t="shared" si="13"/>
        <v>0.8000000000001819</v>
      </c>
      <c r="N49" s="35">
        <f t="shared" si="13"/>
        <v>0.8000000000001819</v>
      </c>
    </row>
    <row r="50" spans="1:14" s="39" customFormat="1" ht="21" customHeight="1">
      <c r="A50" s="22" t="s">
        <v>54</v>
      </c>
      <c r="B50" s="38">
        <f>B19-B4</f>
        <v>-350.8499999999999</v>
      </c>
      <c r="C50" s="24">
        <f aca="true" t="shared" si="14" ref="C50:N50">C19-C4</f>
        <v>-377.6399999999999</v>
      </c>
      <c r="D50" s="24">
        <f t="shared" si="14"/>
        <v>-516.3499999999995</v>
      </c>
      <c r="E50" s="24">
        <f t="shared" si="14"/>
        <v>-139.76999999999953</v>
      </c>
      <c r="F50" s="24">
        <f t="shared" si="14"/>
        <v>-442.4899999999998</v>
      </c>
      <c r="G50" s="24">
        <f t="shared" si="14"/>
        <v>-1201.1699999999992</v>
      </c>
      <c r="H50" s="38">
        <f t="shared" si="14"/>
        <v>-1012.6400000000008</v>
      </c>
      <c r="I50" s="24">
        <f t="shared" si="14"/>
        <v>2956.968145104738</v>
      </c>
      <c r="J50" s="24">
        <f t="shared" si="14"/>
        <v>3431.4061823259112</v>
      </c>
      <c r="K50" s="24">
        <f t="shared" si="14"/>
        <v>3798.832648878981</v>
      </c>
      <c r="L50" s="38">
        <f t="shared" si="14"/>
        <v>4280.887390172662</v>
      </c>
      <c r="M50" s="38">
        <f t="shared" si="14"/>
        <v>4637.457958659425</v>
      </c>
      <c r="N50" s="38">
        <f t="shared" si="14"/>
        <v>5371.798457925863</v>
      </c>
    </row>
    <row r="51" spans="1:14" s="39" customFormat="1" ht="30">
      <c r="A51" s="22" t="s">
        <v>59</v>
      </c>
      <c r="B51" s="38">
        <f>(B19+B34)-B4+(B38+B44)</f>
        <v>64.99999999999989</v>
      </c>
      <c r="C51" s="24">
        <f aca="true" t="shared" si="15" ref="C51:N51">(C19+C34)-C4+(C38+C44)</f>
        <v>234.7600000000001</v>
      </c>
      <c r="D51" s="24">
        <f t="shared" si="15"/>
        <v>169.45000000000056</v>
      </c>
      <c r="E51" s="24">
        <f t="shared" si="15"/>
        <v>317.84000000000066</v>
      </c>
      <c r="F51" s="24">
        <f t="shared" si="15"/>
        <v>264.72</v>
      </c>
      <c r="G51" s="24">
        <f t="shared" si="15"/>
        <v>304.2800000000014</v>
      </c>
      <c r="H51" s="38">
        <f t="shared" si="15"/>
        <v>313.5466999999992</v>
      </c>
      <c r="I51" s="24">
        <f t="shared" si="15"/>
        <v>4428.856598854738</v>
      </c>
      <c r="J51" s="24">
        <f t="shared" si="15"/>
        <v>5065.387837122787</v>
      </c>
      <c r="K51" s="24">
        <f t="shared" si="15"/>
        <v>5613.142989840505</v>
      </c>
      <c r="L51" s="38">
        <f t="shared" si="15"/>
        <v>6295.813394492357</v>
      </c>
      <c r="M51" s="38">
        <f t="shared" si="15"/>
        <v>6875.568888465084</v>
      </c>
      <c r="N51" s="38">
        <f t="shared" si="15"/>
        <v>7858.202617334661</v>
      </c>
    </row>
    <row r="52" spans="1:14" s="39" customFormat="1" ht="21" customHeight="1">
      <c r="A52" s="40" t="s">
        <v>55</v>
      </c>
      <c r="B52" s="41">
        <v>2506.09</v>
      </c>
      <c r="C52" s="42">
        <v>3229.08</v>
      </c>
      <c r="D52" s="42">
        <v>6132.76</v>
      </c>
      <c r="E52" s="42">
        <v>7144.55</v>
      </c>
      <c r="F52" s="42">
        <v>8399.88</v>
      </c>
      <c r="G52" s="42">
        <v>9344.87</v>
      </c>
      <c r="H52" s="41">
        <v>10396.16</v>
      </c>
      <c r="I52" s="42">
        <v>11565.73</v>
      </c>
      <c r="J52" s="42">
        <v>12866.88</v>
      </c>
      <c r="K52" s="42">
        <v>14314.4</v>
      </c>
      <c r="L52" s="41">
        <v>15924.77</v>
      </c>
      <c r="M52" s="41">
        <v>17716.31</v>
      </c>
      <c r="N52" s="41">
        <v>19709.39</v>
      </c>
    </row>
    <row r="53" spans="1:14" s="39" customFormat="1" ht="30">
      <c r="A53" s="40" t="s">
        <v>56</v>
      </c>
      <c r="B53" s="15" t="s">
        <v>68</v>
      </c>
      <c r="C53" s="15" t="s">
        <v>68</v>
      </c>
      <c r="D53" s="15" t="s">
        <v>68</v>
      </c>
      <c r="E53" s="15" t="s">
        <v>68</v>
      </c>
      <c r="F53" s="15" t="s">
        <v>68</v>
      </c>
      <c r="G53" s="15" t="s">
        <v>68</v>
      </c>
      <c r="H53" s="15" t="s">
        <v>68</v>
      </c>
      <c r="I53" s="15" t="s">
        <v>68</v>
      </c>
      <c r="J53" s="15" t="s">
        <v>68</v>
      </c>
      <c r="K53" s="48" t="s">
        <v>68</v>
      </c>
      <c r="L53" s="15" t="s">
        <v>68</v>
      </c>
      <c r="M53" s="15" t="s">
        <v>68</v>
      </c>
      <c r="N53" s="15" t="s">
        <v>68</v>
      </c>
    </row>
    <row r="54" spans="1:14" s="25" customFormat="1" ht="30">
      <c r="A54" s="40" t="s">
        <v>57</v>
      </c>
      <c r="B54" s="43">
        <v>2178.23</v>
      </c>
      <c r="C54" s="44">
        <v>2534.99</v>
      </c>
      <c r="D54" s="44">
        <v>4401.01</v>
      </c>
      <c r="E54" s="44" t="s">
        <v>69</v>
      </c>
      <c r="F54" s="44" t="s">
        <v>70</v>
      </c>
      <c r="G54" s="44" t="s">
        <v>71</v>
      </c>
      <c r="H54" s="43" t="s">
        <v>72</v>
      </c>
      <c r="I54" s="44" t="s">
        <v>73</v>
      </c>
      <c r="J54" s="44" t="s">
        <v>74</v>
      </c>
      <c r="K54" s="44" t="s">
        <v>75</v>
      </c>
      <c r="L54" s="43" t="s">
        <v>76</v>
      </c>
      <c r="M54" s="43" t="s">
        <v>77</v>
      </c>
      <c r="N54" s="43" t="s">
        <v>78</v>
      </c>
    </row>
    <row r="55" spans="1:14" ht="15">
      <c r="A55" s="55" t="s">
        <v>80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5">
      <c r="A56" s="59" t="s">
        <v>79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ht="15">
      <c r="A57" s="49" t="s">
        <v>64</v>
      </c>
      <c r="C57" s="49"/>
      <c r="D57" s="49"/>
      <c r="E57" s="49"/>
      <c r="F57" s="49"/>
      <c r="G57" s="49"/>
      <c r="H57" s="49"/>
      <c r="L57" s="46"/>
      <c r="M57" s="46"/>
      <c r="N57" s="46"/>
    </row>
    <row r="58" spans="1:8" ht="15">
      <c r="A58" s="50" t="s">
        <v>65</v>
      </c>
      <c r="B58" s="50" t="s">
        <v>66</v>
      </c>
      <c r="C58" s="50" t="s">
        <v>67</v>
      </c>
      <c r="D58" s="51"/>
      <c r="E58" s="50"/>
      <c r="F58" s="51"/>
      <c r="G58" s="51"/>
      <c r="H58" s="51"/>
    </row>
    <row r="59" spans="1:14" ht="14.25" customHeight="1">
      <c r="A59" s="56" t="s">
        <v>82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4" ht="15">
      <c r="A60" s="55" t="s">
        <v>81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</sheetData>
  <sheetProtection selectLockedCells="1" selectUnlockedCells="1"/>
  <mergeCells count="8">
    <mergeCell ref="A60:N60"/>
    <mergeCell ref="A59:N59"/>
    <mergeCell ref="B1:F1"/>
    <mergeCell ref="J1:N1"/>
    <mergeCell ref="I8:N17"/>
    <mergeCell ref="A1:A2"/>
    <mergeCell ref="A55:N55"/>
    <mergeCell ref="A56:N56"/>
  </mergeCells>
  <printOptions gridLines="1" horizontalCentered="1"/>
  <pageMargins left="0.393700787401575" right="0.354330708661417" top="0.45" bottom="1.34" header="0.46" footer="1.02"/>
  <pageSetup firstPageNumber="1" useFirstPageNumber="1" fitToHeight="0" horizontalDpi="600" verticalDpi="600" orientation="landscape" paperSize="9" scale="90" r:id="rId1"/>
  <headerFooter alignWithMargins="0">
    <oddHeader>&amp;L&amp;"Arial,Bold"&amp;12
Name of State: SIKKIM
&amp;C&amp;"-,Bold"&amp;14Summery of Revenue and Capital Account
&amp;"-,Regular"
&amp;R&amp;"Arial,Bold"&amp;12Statement -1
(Rs.in Crore)</oddHeader>
    <oddFooter>&amp;C &amp;P</oddFooter>
  </headerFooter>
  <rowBreaks count="2" manualBreakCount="2">
    <brk id="20" max="13" man="1"/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2013-12-02T05:01:37Z</cp:lastPrinted>
  <dcterms:created xsi:type="dcterms:W3CDTF">2008-02-29T08:53:54Z</dcterms:created>
  <dcterms:modified xsi:type="dcterms:W3CDTF">2013-12-02T05:01:57Z</dcterms:modified>
  <cp:category/>
  <cp:version/>
  <cp:contentType/>
  <cp:contentStatus/>
</cp:coreProperties>
</file>